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60" windowWidth="20730" windowHeight="11700" activeTab="1"/>
  </bookViews>
  <sheets>
    <sheet name="Цели" sheetId="8" r:id="rId1"/>
    <sheet name="ЛФП подробно" sheetId="5" r:id="rId2"/>
  </sheets>
  <calcPr calcId="145621"/>
</workbook>
</file>

<file path=xl/calcChain.xml><?xml version="1.0" encoding="utf-8"?>
<calcChain xmlns="http://schemas.openxmlformats.org/spreadsheetml/2006/main">
  <c r="E20" i="5" l="1"/>
  <c r="F20" i="5"/>
  <c r="G20" i="5" s="1"/>
  <c r="H20" i="5" s="1"/>
  <c r="I20" i="5" s="1"/>
  <c r="J20" i="5" s="1"/>
  <c r="K20" i="5" s="1"/>
  <c r="L20" i="5" s="1"/>
  <c r="M20" i="5" s="1"/>
  <c r="N20" i="5" s="1"/>
  <c r="E21" i="5"/>
  <c r="F21" i="5"/>
  <c r="G21" i="5" s="1"/>
  <c r="H21" i="5" s="1"/>
  <c r="I21" i="5" s="1"/>
  <c r="J21" i="5" s="1"/>
  <c r="K21" i="5" s="1"/>
  <c r="L21" i="5" s="1"/>
  <c r="M21" i="5" s="1"/>
  <c r="N21" i="5" s="1"/>
  <c r="E23" i="5"/>
  <c r="F23" i="5"/>
  <c r="G23" i="5" s="1"/>
  <c r="H23" i="5" s="1"/>
  <c r="I23" i="5" s="1"/>
  <c r="J23" i="5" s="1"/>
  <c r="K23" i="5" s="1"/>
  <c r="L23" i="5" s="1"/>
  <c r="M23" i="5" s="1"/>
  <c r="N23" i="5" s="1"/>
  <c r="D21" i="5"/>
  <c r="D22" i="5"/>
  <c r="E22" i="5" s="1"/>
  <c r="F22" i="5" s="1"/>
  <c r="G22" i="5" s="1"/>
  <c r="H22" i="5" s="1"/>
  <c r="I22" i="5" s="1"/>
  <c r="J22" i="5" s="1"/>
  <c r="K22" i="5" s="1"/>
  <c r="L22" i="5" s="1"/>
  <c r="M22" i="5" s="1"/>
  <c r="N22" i="5" s="1"/>
  <c r="D23" i="5"/>
  <c r="D20" i="5"/>
  <c r="C24" i="5"/>
  <c r="D8" i="5"/>
  <c r="E8" i="5" s="1"/>
  <c r="F8" i="5" s="1"/>
  <c r="G8" i="5" s="1"/>
  <c r="H8" i="5" s="1"/>
  <c r="I8" i="5" s="1"/>
  <c r="J8" i="5" s="1"/>
  <c r="K8" i="5" s="1"/>
  <c r="L8" i="5" s="1"/>
  <c r="D9" i="5"/>
  <c r="E9" i="5" s="1"/>
  <c r="F9" i="5" s="1"/>
  <c r="G9" i="5" s="1"/>
  <c r="H9" i="5" s="1"/>
  <c r="I9" i="5" s="1"/>
  <c r="J9" i="5" s="1"/>
  <c r="K9" i="5" s="1"/>
  <c r="L9" i="5" s="1"/>
  <c r="D10" i="5"/>
  <c r="E10" i="5" s="1"/>
  <c r="F10" i="5" s="1"/>
  <c r="G10" i="5" s="1"/>
  <c r="H10" i="5" s="1"/>
  <c r="I10" i="5" s="1"/>
  <c r="J10" i="5" s="1"/>
  <c r="K10" i="5" s="1"/>
  <c r="L10" i="5" s="1"/>
  <c r="D11" i="5"/>
  <c r="E11" i="5" s="1"/>
  <c r="F11" i="5" s="1"/>
  <c r="G11" i="5" s="1"/>
  <c r="H11" i="5" s="1"/>
  <c r="I11" i="5" s="1"/>
  <c r="J11" i="5" s="1"/>
  <c r="K11" i="5" s="1"/>
  <c r="L11" i="5" s="1"/>
  <c r="D12" i="5"/>
  <c r="E12" i="5" s="1"/>
  <c r="F12" i="5" s="1"/>
  <c r="G12" i="5" s="1"/>
  <c r="H12" i="5" s="1"/>
  <c r="I12" i="5" s="1"/>
  <c r="J12" i="5" s="1"/>
  <c r="K12" i="5" s="1"/>
  <c r="L12" i="5" s="1"/>
  <c r="D13" i="5"/>
  <c r="E13" i="5" s="1"/>
  <c r="F13" i="5" s="1"/>
  <c r="G13" i="5" s="1"/>
  <c r="H13" i="5" s="1"/>
  <c r="I13" i="5" s="1"/>
  <c r="J13" i="5" s="1"/>
  <c r="K13" i="5" s="1"/>
  <c r="L13" i="5" s="1"/>
  <c r="D14" i="5"/>
  <c r="E14" i="5" s="1"/>
  <c r="F14" i="5" s="1"/>
  <c r="G14" i="5" s="1"/>
  <c r="H14" i="5" s="1"/>
  <c r="I14" i="5" s="1"/>
  <c r="J14" i="5" s="1"/>
  <c r="K14" i="5" s="1"/>
  <c r="L14" i="5" s="1"/>
  <c r="D15" i="5"/>
  <c r="E15" i="5" s="1"/>
  <c r="F15" i="5" s="1"/>
  <c r="G15" i="5" s="1"/>
  <c r="H15" i="5" s="1"/>
  <c r="I15" i="5" s="1"/>
  <c r="J15" i="5" s="1"/>
  <c r="K15" i="5" s="1"/>
  <c r="L15" i="5" s="1"/>
  <c r="D16" i="5"/>
  <c r="E16" i="5" s="1"/>
  <c r="F16" i="5" s="1"/>
  <c r="G16" i="5" s="1"/>
  <c r="H16" i="5" s="1"/>
  <c r="I16" i="5" s="1"/>
  <c r="J16" i="5" s="1"/>
  <c r="K16" i="5" s="1"/>
  <c r="L16" i="5" s="1"/>
  <c r="D17" i="5"/>
  <c r="E17" i="5" s="1"/>
  <c r="F17" i="5" s="1"/>
  <c r="G17" i="5" s="1"/>
  <c r="H17" i="5" s="1"/>
  <c r="I17" i="5" s="1"/>
  <c r="J17" i="5" s="1"/>
  <c r="K17" i="5" s="1"/>
  <c r="L17" i="5" s="1"/>
  <c r="D18" i="5"/>
  <c r="E18" i="5" s="1"/>
  <c r="F18" i="5" s="1"/>
  <c r="G18" i="5" s="1"/>
  <c r="H18" i="5" s="1"/>
  <c r="I18" i="5" s="1"/>
  <c r="J18" i="5" s="1"/>
  <c r="K18" i="5" s="1"/>
  <c r="L18" i="5" s="1"/>
  <c r="D19" i="5"/>
  <c r="E19" i="5" s="1"/>
  <c r="F19" i="5" s="1"/>
  <c r="G19" i="5" s="1"/>
  <c r="H19" i="5" s="1"/>
  <c r="I19" i="5" s="1"/>
  <c r="J19" i="5" s="1"/>
  <c r="K19" i="5" s="1"/>
  <c r="L19" i="5" s="1"/>
  <c r="D7" i="5"/>
  <c r="E7" i="5" s="1"/>
  <c r="F7" i="5" s="1"/>
  <c r="G7" i="5" s="1"/>
  <c r="H7" i="5" s="1"/>
  <c r="I7" i="5" s="1"/>
  <c r="J7" i="5" s="1"/>
  <c r="K7" i="5" s="1"/>
  <c r="L7" i="5" s="1"/>
  <c r="G19" i="8"/>
  <c r="H21" i="8"/>
  <c r="I14" i="8"/>
  <c r="H14" i="8"/>
  <c r="G14" i="8"/>
  <c r="E14" i="8"/>
  <c r="F14" i="8"/>
  <c r="C9" i="8"/>
  <c r="O7" i="5" l="1"/>
  <c r="O18" i="5" l="1"/>
  <c r="F15" i="8" s="1"/>
  <c r="C27" i="5" l="1"/>
  <c r="C29" i="5" s="1"/>
  <c r="D27" i="5" s="1"/>
  <c r="D29" i="5" s="1"/>
  <c r="E27" i="5" s="1"/>
  <c r="E29" i="5" s="1"/>
  <c r="F27" i="5" s="1"/>
  <c r="F29" i="5" s="1"/>
  <c r="G27" i="5" s="1"/>
  <c r="G29" i="5" s="1"/>
  <c r="H27" i="5" s="1"/>
  <c r="H29" i="5" s="1"/>
  <c r="I27" i="5" s="1"/>
  <c r="I29" i="5" s="1"/>
  <c r="J27" i="5" s="1"/>
  <c r="J29" i="5" s="1"/>
  <c r="K27" i="5" s="1"/>
  <c r="K29" i="5" s="1"/>
  <c r="L27" i="5" s="1"/>
  <c r="L29" i="5" s="1"/>
  <c r="M27" i="5" s="1"/>
  <c r="M29" i="5" s="1"/>
  <c r="O8" i="5" l="1"/>
  <c r="O9" i="5"/>
  <c r="O10" i="5"/>
  <c r="O11" i="5"/>
  <c r="O12" i="5"/>
  <c r="O13" i="5"/>
  <c r="O14" i="5"/>
  <c r="O15" i="5"/>
  <c r="O16" i="5"/>
  <c r="O17" i="5"/>
  <c r="O20" i="5"/>
  <c r="O21" i="5"/>
  <c r="O22" i="5"/>
  <c r="O23" i="5"/>
  <c r="C15" i="8" l="1"/>
  <c r="C16" i="8" s="1"/>
  <c r="C17" i="8" s="1"/>
  <c r="C18" i="8" s="1"/>
  <c r="C19" i="8" s="1"/>
  <c r="C20" i="8" s="1"/>
  <c r="C21" i="8" s="1"/>
  <c r="C22" i="8" s="1"/>
  <c r="B15" i="8"/>
  <c r="B16" i="8" s="1"/>
  <c r="E15" i="8"/>
  <c r="E16" i="8" s="1"/>
  <c r="O19" i="5"/>
  <c r="O27" i="5" s="1"/>
  <c r="B17" i="8" l="1"/>
  <c r="B18" i="8" l="1"/>
  <c r="B19" i="8" l="1"/>
  <c r="B20" i="8" l="1"/>
  <c r="D6" i="5"/>
  <c r="D24" i="5" s="1"/>
  <c r="B21" i="8" l="1"/>
  <c r="E6" i="5"/>
  <c r="E24" i="5" s="1"/>
  <c r="B22" i="8" l="1"/>
  <c r="N27" i="5"/>
  <c r="F6" i="5"/>
  <c r="F24" i="5" s="1"/>
  <c r="N29" i="5" l="1"/>
  <c r="G6" i="5"/>
  <c r="G24" i="5" s="1"/>
  <c r="O28" i="5" l="1"/>
  <c r="O29" i="5"/>
  <c r="H6" i="5"/>
  <c r="H24" i="5" s="1"/>
  <c r="D15" i="8" l="1"/>
  <c r="D16" i="8" s="1"/>
  <c r="D17" i="8" s="1"/>
  <c r="D18" i="8" s="1"/>
  <c r="D19" i="8" s="1"/>
  <c r="D20" i="8" s="1"/>
  <c r="D21" i="8" s="1"/>
  <c r="D22" i="8" s="1"/>
  <c r="B26" i="5"/>
  <c r="I6" i="5"/>
  <c r="I24" i="5" s="1"/>
  <c r="J6" i="5" l="1"/>
  <c r="J24" i="5" s="1"/>
  <c r="K6" i="5" l="1"/>
  <c r="K24" i="5" s="1"/>
  <c r="L6" i="5" l="1"/>
  <c r="L24" i="5" s="1"/>
  <c r="M6" i="5" l="1"/>
  <c r="M24" i="5" s="1"/>
  <c r="N6" i="5" l="1"/>
  <c r="N24" i="5" s="1"/>
</calcChain>
</file>

<file path=xl/comments1.xml><?xml version="1.0" encoding="utf-8"?>
<comments xmlns="http://schemas.openxmlformats.org/spreadsheetml/2006/main">
  <authors>
    <author>Admin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Градация по степени важности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>Кредит + долг друзьям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5 месячных расходов семьи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Жизнь на доходы от инвестиций. Ежемесячные расходы 60 тысяч рублей.*12 месяцев=720 000 руб. в год.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Ожидаемая доходность 15% в год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Показывает % увеличения дохода за счет индексации зп, карьерного роста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204"/>
          </rPr>
          <t>Цена с учетом инфляции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Расходы сокращаются на 10 тыс/месяц так как мы купили свою квартиру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2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Стоимотсь автомобиля с учетом инфляции
</t>
        </r>
      </text>
    </comment>
  </commentList>
</comments>
</file>

<file path=xl/sharedStrings.xml><?xml version="1.0" encoding="utf-8"?>
<sst xmlns="http://schemas.openxmlformats.org/spreadsheetml/2006/main" count="56" uniqueCount="54">
  <si>
    <t>Инвестиции</t>
  </si>
  <si>
    <t>Инфляция</t>
  </si>
  <si>
    <t>сумма инвестиций</t>
  </si>
  <si>
    <t>План 2018</t>
  </si>
  <si>
    <t>Питание</t>
  </si>
  <si>
    <t>Траты на жизнь</t>
  </si>
  <si>
    <t>Дом, семья</t>
  </si>
  <si>
    <t>Автомобиль</t>
  </si>
  <si>
    <t>Бизнес</t>
  </si>
  <si>
    <t>Налоги и гос.пошлины</t>
  </si>
  <si>
    <t>Прочие</t>
  </si>
  <si>
    <t>Инвестирование</t>
  </si>
  <si>
    <t>Здоровье и красота</t>
  </si>
  <si>
    <t>Доход/расход</t>
  </si>
  <si>
    <t>янв.18</t>
  </si>
  <si>
    <t>фев.18</t>
  </si>
  <si>
    <t>мар.18</t>
  </si>
  <si>
    <t>апр.18</t>
  </si>
  <si>
    <t>май.18</t>
  </si>
  <si>
    <t>июн.18</t>
  </si>
  <si>
    <t>июл.18</t>
  </si>
  <si>
    <t>авг.18</t>
  </si>
  <si>
    <t>сен.18</t>
  </si>
  <si>
    <t>окт.18</t>
  </si>
  <si>
    <t>ноя.18</t>
  </si>
  <si>
    <t>дек.18</t>
  </si>
  <si>
    <t>Начальные остатки</t>
  </si>
  <si>
    <t>Баланс</t>
  </si>
  <si>
    <t>Год</t>
  </si>
  <si>
    <t>Доход</t>
  </si>
  <si>
    <t>Расход</t>
  </si>
  <si>
    <t>Квартира</t>
  </si>
  <si>
    <t>Итоги 2018</t>
  </si>
  <si>
    <t>Итоги:</t>
  </si>
  <si>
    <t>Фин.подушка</t>
  </si>
  <si>
    <t xml:space="preserve"> -  р. </t>
  </si>
  <si>
    <t>Кварплата/квартира</t>
  </si>
  <si>
    <t>Благотворительность</t>
  </si>
  <si>
    <t>Кредит 1</t>
  </si>
  <si>
    <t>Долг 1</t>
  </si>
  <si>
    <t>Заработная плата 1</t>
  </si>
  <si>
    <t>Заработная плата 2</t>
  </si>
  <si>
    <t>Итого</t>
  </si>
  <si>
    <t>работа инвестиций</t>
  </si>
  <si>
    <t>Мои цели</t>
  </si>
  <si>
    <t>Необходимая сумма</t>
  </si>
  <si>
    <t>Избавиться от долгов и кредитов</t>
  </si>
  <si>
    <t>Финансовая подушка</t>
  </si>
  <si>
    <t>Финансовая свобода</t>
  </si>
  <si>
    <t>№</t>
  </si>
  <si>
    <t>Целестремленность</t>
  </si>
  <si>
    <t>Приоритетность</t>
  </si>
  <si>
    <t>Дата достижения</t>
  </si>
  <si>
    <t>Пример личного финансового плана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</si>
</sst>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u/>
      <sz val="28"/>
      <color theme="1"/>
      <name val="Chiller"/>
      <family val="5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14" fontId="0" fillId="0" borderId="0" xfId="0" applyNumberFormat="1"/>
    <xf numFmtId="44" fontId="17" fillId="35" borderId="10" xfId="43" applyFont="1" applyFill="1" applyBorder="1"/>
    <xf numFmtId="44" fontId="0" fillId="0" borderId="0" xfId="0" applyNumberFormat="1"/>
    <xf numFmtId="44" fontId="0" fillId="0" borderId="0" xfId="43" applyFont="1"/>
    <xf numFmtId="0" fontId="0" fillId="0" borderId="10" xfId="0" applyBorder="1"/>
    <xf numFmtId="44" fontId="0" fillId="0" borderId="10" xfId="43" applyFont="1" applyBorder="1" applyAlignment="1">
      <alignment horizontal="center" vertical="center"/>
    </xf>
    <xf numFmtId="17" fontId="0" fillId="0" borderId="0" xfId="0" applyNumberFormat="1"/>
    <xf numFmtId="9" fontId="0" fillId="0" borderId="0" xfId="0" applyNumberFormat="1"/>
    <xf numFmtId="44" fontId="0" fillId="0" borderId="20" xfId="43" applyFont="1" applyBorder="1"/>
    <xf numFmtId="44" fontId="0" fillId="0" borderId="21" xfId="43" applyFont="1" applyBorder="1"/>
    <xf numFmtId="44" fontId="0" fillId="0" borderId="21" xfId="43" applyNumberFormat="1" applyFont="1" applyBorder="1"/>
    <xf numFmtId="0" fontId="0" fillId="0" borderId="19" xfId="0" applyBorder="1"/>
    <xf numFmtId="17" fontId="0" fillId="0" borderId="23" xfId="0" applyNumberFormat="1" applyBorder="1"/>
    <xf numFmtId="44" fontId="17" fillId="35" borderId="23" xfId="0" applyNumberFormat="1" applyFont="1" applyFill="1" applyBorder="1"/>
    <xf numFmtId="17" fontId="0" fillId="0" borderId="27" xfId="0" applyNumberFormat="1" applyBorder="1"/>
    <xf numFmtId="17" fontId="16" fillId="0" borderId="20" xfId="0" applyNumberFormat="1" applyFont="1" applyBorder="1"/>
    <xf numFmtId="44" fontId="16" fillId="0" borderId="21" xfId="43" applyFont="1" applyBorder="1" applyAlignment="1">
      <alignment horizontal="center" vertical="center"/>
    </xf>
    <xf numFmtId="9" fontId="16" fillId="0" borderId="21" xfId="1" applyFont="1" applyBorder="1" applyAlignment="1">
      <alignment horizontal="center" vertical="center"/>
    </xf>
    <xf numFmtId="44" fontId="16" fillId="36" borderId="21" xfId="1" applyNumberFormat="1" applyFont="1" applyFill="1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 vertical="center"/>
    </xf>
    <xf numFmtId="44" fontId="18" fillId="0" borderId="10" xfId="43" applyFont="1" applyBorder="1"/>
    <xf numFmtId="44" fontId="18" fillId="0" borderId="10" xfId="0" applyNumberFormat="1" applyFont="1" applyBorder="1"/>
    <xf numFmtId="44" fontId="0" fillId="0" borderId="0" xfId="0" applyNumberFormat="1" applyFont="1"/>
    <xf numFmtId="44" fontId="0" fillId="0" borderId="22" xfId="0" applyNumberFormat="1" applyFont="1" applyBorder="1"/>
    <xf numFmtId="0" fontId="21" fillId="0" borderId="0" xfId="0" applyFont="1"/>
    <xf numFmtId="44" fontId="0" fillId="0" borderId="10" xfId="0" applyNumberFormat="1" applyBorder="1" applyAlignment="1">
      <alignment horizontal="center" vertical="center"/>
    </xf>
    <xf numFmtId="0" fontId="22" fillId="0" borderId="0" xfId="0" applyFont="1"/>
    <xf numFmtId="44" fontId="23" fillId="0" borderId="10" xfId="43" applyFont="1" applyBorder="1"/>
    <xf numFmtId="44" fontId="22" fillId="0" borderId="21" xfId="43" applyNumberFormat="1" applyFont="1" applyBorder="1"/>
    <xf numFmtId="0" fontId="24" fillId="0" borderId="0" xfId="0" applyFont="1"/>
    <xf numFmtId="44" fontId="24" fillId="0" borderId="10" xfId="43" applyFont="1" applyBorder="1"/>
    <xf numFmtId="44" fontId="24" fillId="0" borderId="21" xfId="43" applyFont="1" applyBorder="1"/>
    <xf numFmtId="44" fontId="0" fillId="0" borderId="10" xfId="43" applyFont="1" applyBorder="1"/>
    <xf numFmtId="44" fontId="16" fillId="33" borderId="11" xfId="43" applyFont="1" applyFill="1" applyBorder="1" applyAlignment="1">
      <alignment horizontal="center" vertical="center"/>
    </xf>
    <xf numFmtId="10" fontId="16" fillId="33" borderId="13" xfId="43" applyNumberFormat="1" applyFont="1" applyFill="1" applyBorder="1" applyAlignment="1">
      <alignment horizontal="center" vertical="center"/>
    </xf>
    <xf numFmtId="44" fontId="16" fillId="33" borderId="16" xfId="43" applyFont="1" applyFill="1" applyBorder="1" applyAlignment="1">
      <alignment horizontal="center" vertical="center"/>
    </xf>
    <xf numFmtId="9" fontId="16" fillId="33" borderId="18" xfId="43" applyNumberFormat="1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44" fontId="0" fillId="0" borderId="10" xfId="0" applyNumberFormat="1" applyBorder="1"/>
    <xf numFmtId="44" fontId="17" fillId="35" borderId="10" xfId="0" applyNumberFormat="1" applyFont="1" applyFill="1" applyBorder="1"/>
    <xf numFmtId="44" fontId="0" fillId="0" borderId="15" xfId="43" applyFont="1" applyBorder="1"/>
    <xf numFmtId="44" fontId="0" fillId="0" borderId="17" xfId="0" applyNumberFormat="1" applyBorder="1"/>
    <xf numFmtId="44" fontId="0" fillId="0" borderId="17" xfId="43" applyFont="1" applyBorder="1"/>
    <xf numFmtId="44" fontId="17" fillId="35" borderId="18" xfId="43" applyFont="1" applyFill="1" applyBorder="1"/>
    <xf numFmtId="0" fontId="16" fillId="37" borderId="11" xfId="0" applyFont="1" applyFill="1" applyBorder="1"/>
    <xf numFmtId="44" fontId="16" fillId="37" borderId="12" xfId="0" applyNumberFormat="1" applyFont="1" applyFill="1" applyBorder="1"/>
    <xf numFmtId="44" fontId="16" fillId="37" borderId="13" xfId="0" applyNumberFormat="1" applyFont="1" applyFill="1" applyBorder="1"/>
    <xf numFmtId="0" fontId="16" fillId="37" borderId="14" xfId="0" applyFont="1" applyFill="1" applyBorder="1"/>
    <xf numFmtId="0" fontId="16" fillId="37" borderId="16" xfId="0" applyFont="1" applyFill="1" applyBorder="1"/>
    <xf numFmtId="0" fontId="25" fillId="0" borderId="0" xfId="0" applyFont="1" applyAlignment="1">
      <alignment horizontal="center" vertical="center"/>
    </xf>
    <xf numFmtId="0" fontId="0" fillId="34" borderId="24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</cellXfs>
  <cellStyles count="44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Денежный" xfId="43" builtinId="4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Процентный" xfId="1" builtinId="5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2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&quot;р.&quot;_-;\-* #,##0.00&quot;р.&quot;_-;_-* &quot;-&quot;??&quot;р.&quot;_-;_-@_-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numFmt numFmtId="34" formatCode="_-* #,##0.00&quot;р.&quot;_-;\-* #,##0.00&quot;р.&quot;_-;_-* &quot;-&quot;??&quot;р.&quot;_-;_-@_-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&quot;р.&quot;_-;\-* #,##0.00&quot;р.&quot;_-;_-* &quot;-&quot;??&quot;р.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&quot;р.&quot;_-;\-* #,##0.00&quot;р.&quot;_-;_-* &quot;-&quot;??&quot;р.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&quot;р.&quot;_-;\-* #,##0.00&quot;р.&quot;_-;_-* &quot;-&quot;??&quot;р.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&quot;р.&quot;_-;\-* #,##0.00&quot;р.&quot;_-;_-* &quot;-&quot;??&quot;р.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&quot;р.&quot;_-;\-* #,##0.00&quot;р.&quot;_-;_-* &quot;-&quot;??&quot;р.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&quot;р.&quot;_-;\-* #,##0.00&quot;р.&quot;_-;_-* &quot;-&quot;??&quot;р.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&quot;р.&quot;_-;\-* #,##0.00&quot;р.&quot;_-;_-* &quot;-&quot;??&quot;р.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&quot;р.&quot;_-;\-* #,##0.00&quot;р.&quot;_-;_-* &quot;-&quot;??&quot;р.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&quot;р.&quot;_-;\-* #,##0.00&quot;р.&quot;_-;_-* &quot;-&quot;??&quot;р.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&quot;р.&quot;_-;\-* #,##0.00&quot;р.&quot;_-;_-* &quot;-&quot;??&quot;р.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&quot;р.&quot;_-;\-* #,##0.00&quot;р.&quot;_-;_-* &quot;-&quot;??&quot;р.&quot;_-;_-@_-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&quot;р.&quot;_-;\-* #,##0.00&quot;р.&quot;_-;_-* &quot;-&quot;??&quot;р.&quot;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2" formatCode="mmm/yy"/>
    </dxf>
    <dxf>
      <numFmt numFmtId="0" formatCode="General"/>
    </dxf>
    <dxf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&quot;р.&quot;_-;\-* #,##0.00&quot;р.&quot;_-;_-* &quot;-&quot;??&quot;р.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&quot;р.&quot;_-;\-* #,##0.00&quot;р.&quot;_-;_-* &quot;-&quot;??&quot;р.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9" name="Таблица9" displayName="Таблица9" ref="A3:E9" totalsRowCount="1">
  <autoFilter ref="A3:E8"/>
  <tableColumns count="5">
    <tableColumn id="1" name="№"/>
    <tableColumn id="2" name="Мои цели" dataDxfId="27" totalsRowDxfId="26" dataCellStyle="Денежный"/>
    <tableColumn id="3" name="Необходимая сумма" totalsRowFunction="custom" dataDxfId="25" totalsRowDxfId="24" dataCellStyle="Денежный">
      <totalsRowFormula>SUM(C4:C8)</totalsRowFormula>
    </tableColumn>
    <tableColumn id="4" name="Приоритетность" dataDxfId="23"/>
    <tableColumn id="5" name="Дата достижения" dataDxfId="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Таблица6" displayName="Таблица6" ref="B5:O24" totalsRowCount="1" headerRowDxfId="21">
  <autoFilter ref="B5:O23"/>
  <tableColumns count="14">
    <tableColumn id="1" name="Доход/расход" totalsRowLabel="Баланс"/>
    <tableColumn id="2" name="янв.18" totalsRowFunction="custom" dataDxfId="20" totalsRowDxfId="19" dataCellStyle="Денежный">
      <totalsRowFormula>SUM(C6:C23)</totalsRowFormula>
    </tableColumn>
    <tableColumn id="3" name="фев.18" totalsRowFunction="custom" totalsRowDxfId="18" dataCellStyle="Денежный">
      <totalsRowFormula>SUM(D6:D23)</totalsRowFormula>
    </tableColumn>
    <tableColumn id="4" name="мар.18" totalsRowFunction="custom" totalsRowDxfId="17" dataCellStyle="Денежный">
      <totalsRowFormula>SUM(E6:E23)</totalsRowFormula>
    </tableColumn>
    <tableColumn id="5" name="апр.18" totalsRowFunction="custom" totalsRowDxfId="16" dataCellStyle="Денежный">
      <totalsRowFormula>SUM(F6:F23)</totalsRowFormula>
    </tableColumn>
    <tableColumn id="6" name="май.18" totalsRowFunction="custom" totalsRowDxfId="15" dataCellStyle="Денежный">
      <totalsRowFormula>SUM(G6:G23)</totalsRowFormula>
    </tableColumn>
    <tableColumn id="7" name="июн.18" totalsRowFunction="custom" totalsRowDxfId="14" dataCellStyle="Денежный">
      <totalsRowFormula>SUM(H6:H23)</totalsRowFormula>
    </tableColumn>
    <tableColumn id="8" name="июл.18" totalsRowFunction="custom" totalsRowDxfId="13" dataCellStyle="Денежный">
      <totalsRowFormula>SUM(I6:I23)</totalsRowFormula>
    </tableColumn>
    <tableColumn id="9" name="авг.18" totalsRowFunction="custom" totalsRowDxfId="12" dataCellStyle="Денежный">
      <totalsRowFormula>SUM(J6:J23)</totalsRowFormula>
    </tableColumn>
    <tableColumn id="10" name="сен.18" totalsRowFunction="custom" totalsRowDxfId="11" dataCellStyle="Денежный">
      <totalsRowFormula>SUM(K6:K23)</totalsRowFormula>
    </tableColumn>
    <tableColumn id="11" name="окт.18" totalsRowFunction="custom" totalsRowDxfId="10" dataCellStyle="Денежный">
      <totalsRowFormula>SUM(L6:L23)</totalsRowFormula>
    </tableColumn>
    <tableColumn id="12" name="ноя.18" totalsRowFunction="custom" totalsRowDxfId="9" dataCellStyle="Денежный">
      <totalsRowFormula>SUM(M6:M23)</totalsRowFormula>
    </tableColumn>
    <tableColumn id="13" name="дек.18" totalsRowFunction="custom" totalsRowDxfId="8" dataCellStyle="Денежный">
      <totalsRowFormula>SUM(N6:N23)</totalsRowFormula>
    </tableColumn>
    <tableColumn id="110" name="Итоги 2018" totalsRowLabel=" -  р. " dataDxfId="7" totalsRowDxfId="6" dataCellStyle="Денежный">
      <calculatedColumnFormula>SUM(Таблица6[[#This Row],[янв.18]:[дек.18]])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E12" sqref="E12"/>
    </sheetView>
  </sheetViews>
  <sheetFormatPr defaultRowHeight="15" x14ac:dyDescent="0.25"/>
  <cols>
    <col min="1" max="1" width="5.5703125" bestFit="1" customWidth="1"/>
    <col min="2" max="2" width="33.140625" bestFit="1" customWidth="1"/>
    <col min="3" max="3" width="24.42578125" bestFit="1" customWidth="1"/>
    <col min="4" max="4" width="18.7109375" bestFit="1" customWidth="1"/>
    <col min="5" max="5" width="33.140625" bestFit="1" customWidth="1"/>
    <col min="6" max="6" width="22.5703125" bestFit="1" customWidth="1"/>
    <col min="7" max="8" width="14.7109375" bestFit="1" customWidth="1"/>
    <col min="9" max="9" width="21.5703125" bestFit="1" customWidth="1"/>
  </cols>
  <sheetData>
    <row r="1" spans="1:9" x14ac:dyDescent="0.25">
      <c r="A1" s="51" t="s">
        <v>53</v>
      </c>
      <c r="B1" s="51"/>
      <c r="C1" s="51"/>
      <c r="D1" s="51"/>
      <c r="E1" s="51"/>
      <c r="F1" s="51"/>
      <c r="G1" s="51"/>
      <c r="H1" s="51"/>
      <c r="I1" s="51"/>
    </row>
    <row r="2" spans="1:9" ht="28.5" customHeight="1" x14ac:dyDescent="0.25">
      <c r="A2" s="51"/>
      <c r="B2" s="51"/>
      <c r="C2" s="51"/>
      <c r="D2" s="51"/>
      <c r="E2" s="51"/>
      <c r="F2" s="51"/>
      <c r="G2" s="51"/>
      <c r="H2" s="51"/>
      <c r="I2" s="51"/>
    </row>
    <row r="3" spans="1:9" x14ac:dyDescent="0.25">
      <c r="A3" t="s">
        <v>49</v>
      </c>
      <c r="B3" s="4" t="s">
        <v>44</v>
      </c>
      <c r="C3" s="4" t="s">
        <v>45</v>
      </c>
      <c r="D3" t="s">
        <v>51</v>
      </c>
      <c r="E3" t="s">
        <v>52</v>
      </c>
      <c r="F3" s="8"/>
      <c r="G3" s="8"/>
      <c r="H3" s="8"/>
      <c r="I3" s="8"/>
    </row>
    <row r="4" spans="1:9" x14ac:dyDescent="0.25">
      <c r="A4">
        <v>1</v>
      </c>
      <c r="B4" s="4" t="s">
        <v>46</v>
      </c>
      <c r="C4" s="4">
        <v>150000</v>
      </c>
      <c r="D4" s="39">
        <v>1</v>
      </c>
      <c r="E4" s="38">
        <v>2019</v>
      </c>
      <c r="F4" s="4"/>
      <c r="G4" s="4"/>
      <c r="H4" s="4"/>
      <c r="I4" s="4"/>
    </row>
    <row r="5" spans="1:9" x14ac:dyDescent="0.25">
      <c r="A5">
        <v>2</v>
      </c>
      <c r="B5" s="4" t="s">
        <v>47</v>
      </c>
      <c r="C5" s="4">
        <v>335000</v>
      </c>
      <c r="D5" s="39">
        <v>2</v>
      </c>
      <c r="E5" s="38">
        <v>2019</v>
      </c>
      <c r="F5" s="4"/>
      <c r="G5" s="4"/>
      <c r="H5" s="4"/>
      <c r="I5" s="4"/>
    </row>
    <row r="6" spans="1:9" x14ac:dyDescent="0.25">
      <c r="A6">
        <v>3</v>
      </c>
      <c r="B6" s="4" t="s">
        <v>7</v>
      </c>
      <c r="C6" s="4">
        <v>800000</v>
      </c>
      <c r="D6" s="39">
        <v>4</v>
      </c>
      <c r="E6" s="38">
        <v>2024</v>
      </c>
      <c r="F6" s="4"/>
      <c r="G6" s="4"/>
      <c r="H6" s="4"/>
      <c r="I6" s="4"/>
    </row>
    <row r="7" spans="1:9" x14ac:dyDescent="0.25">
      <c r="A7">
        <v>4</v>
      </c>
      <c r="B7" s="4" t="s">
        <v>31</v>
      </c>
      <c r="C7" s="4">
        <v>3300000</v>
      </c>
      <c r="D7" s="39">
        <v>3</v>
      </c>
      <c r="E7" s="38">
        <v>2022</v>
      </c>
      <c r="F7" s="4"/>
      <c r="G7" s="4"/>
      <c r="H7" s="4"/>
      <c r="I7" s="4"/>
    </row>
    <row r="8" spans="1:9" x14ac:dyDescent="0.25">
      <c r="A8">
        <v>5</v>
      </c>
      <c r="B8" s="4" t="s">
        <v>48</v>
      </c>
      <c r="C8" s="4">
        <v>5000000</v>
      </c>
      <c r="D8" s="39">
        <v>5</v>
      </c>
      <c r="E8" s="38">
        <v>2025</v>
      </c>
      <c r="F8" s="4"/>
      <c r="G8" s="4"/>
      <c r="H8" s="4"/>
      <c r="I8" s="4"/>
    </row>
    <row r="9" spans="1:9" x14ac:dyDescent="0.25">
      <c r="B9" s="23"/>
      <c r="C9" s="23">
        <f>SUM(C4:C8)</f>
        <v>9585000</v>
      </c>
      <c r="F9" s="4"/>
      <c r="G9" s="4"/>
      <c r="H9" s="4"/>
      <c r="I9" s="4"/>
    </row>
    <row r="10" spans="1:9" ht="15.75" thickBot="1" x14ac:dyDescent="0.3">
      <c r="B10" s="4"/>
      <c r="C10" s="4"/>
      <c r="D10" s="3"/>
      <c r="E10" s="8"/>
      <c r="F10" s="4"/>
      <c r="G10" s="4"/>
      <c r="H10" s="4"/>
      <c r="I10" s="4"/>
    </row>
    <row r="11" spans="1:9" x14ac:dyDescent="0.25">
      <c r="B11" s="34" t="s">
        <v>1</v>
      </c>
      <c r="C11" s="35">
        <v>2.5000000000000001E-2</v>
      </c>
      <c r="D11" s="3"/>
      <c r="E11" s="8"/>
      <c r="F11" s="4"/>
      <c r="G11" s="4"/>
      <c r="H11" s="4"/>
      <c r="I11" s="4"/>
    </row>
    <row r="12" spans="1:9" ht="15.75" thickBot="1" x14ac:dyDescent="0.3">
      <c r="B12" s="36" t="s">
        <v>50</v>
      </c>
      <c r="C12" s="37">
        <v>0.1</v>
      </c>
      <c r="D12" s="3"/>
      <c r="E12" s="8"/>
      <c r="F12" s="4"/>
      <c r="G12" s="4"/>
      <c r="H12" s="4"/>
      <c r="I12" s="4"/>
    </row>
    <row r="13" spans="1:9" ht="15.75" thickBot="1" x14ac:dyDescent="0.3">
      <c r="B13" s="4"/>
      <c r="C13" s="4"/>
      <c r="D13" s="3"/>
      <c r="E13" s="8"/>
      <c r="F13" s="4"/>
      <c r="G13" s="4"/>
      <c r="H13" s="4"/>
      <c r="I13" s="4"/>
    </row>
    <row r="14" spans="1:9" x14ac:dyDescent="0.25">
      <c r="A14" s="46" t="s">
        <v>28</v>
      </c>
      <c r="B14" s="47" t="s">
        <v>30</v>
      </c>
      <c r="C14" s="47" t="s">
        <v>29</v>
      </c>
      <c r="D14" s="47" t="s">
        <v>0</v>
      </c>
      <c r="E14" s="47" t="str">
        <f>B4</f>
        <v>Избавиться от долгов и кредитов</v>
      </c>
      <c r="F14" s="47" t="str">
        <f>B5</f>
        <v>Финансовая подушка</v>
      </c>
      <c r="G14" s="47" t="str">
        <f>B7</f>
        <v>Квартира</v>
      </c>
      <c r="H14" s="47" t="str">
        <f>B6</f>
        <v>Автомобиль</v>
      </c>
      <c r="I14" s="48" t="str">
        <f>B8</f>
        <v>Финансовая свобода</v>
      </c>
    </row>
    <row r="15" spans="1:9" x14ac:dyDescent="0.25">
      <c r="A15" s="49">
        <v>2018</v>
      </c>
      <c r="B15" s="40">
        <f>SUM('ЛФП подробно'!O7:O15)</f>
        <v>-804000</v>
      </c>
      <c r="C15" s="40">
        <f>SUM('ЛФП подробно'!O20:O23)</f>
        <v>1332000</v>
      </c>
      <c r="D15" s="40">
        <f>'ЛФП подробно'!O29</f>
        <v>343132.91985245579</v>
      </c>
      <c r="E15" s="41">
        <f>SUM('ЛФП подробно'!O16:O17)</f>
        <v>-132000</v>
      </c>
      <c r="F15" s="41">
        <f>-SUM('ЛФП подробно'!O18)</f>
        <v>120000</v>
      </c>
      <c r="G15" s="33">
        <v>0</v>
      </c>
      <c r="H15" s="33">
        <v>0</v>
      </c>
      <c r="I15" s="42">
        <v>0</v>
      </c>
    </row>
    <row r="16" spans="1:9" x14ac:dyDescent="0.25">
      <c r="A16" s="49">
        <v>2019</v>
      </c>
      <c r="B16" s="40">
        <f>B15*C11+B15</f>
        <v>-824100</v>
      </c>
      <c r="C16" s="40">
        <f>C15*C12+C15</f>
        <v>1465200</v>
      </c>
      <c r="D16" s="40">
        <f>(C16+B16+E16-F16+D15)*1.15</f>
        <v>863917.85783032421</v>
      </c>
      <c r="E16" s="41">
        <f>-C4-E15</f>
        <v>-18000</v>
      </c>
      <c r="F16" s="2">
        <v>215000</v>
      </c>
      <c r="G16" s="33">
        <v>0</v>
      </c>
      <c r="H16" s="33">
        <v>0</v>
      </c>
      <c r="I16" s="42">
        <v>0</v>
      </c>
    </row>
    <row r="17" spans="1:9" x14ac:dyDescent="0.25">
      <c r="A17" s="49">
        <v>2020</v>
      </c>
      <c r="B17" s="40">
        <f>B16*C11+B16</f>
        <v>-844702.5</v>
      </c>
      <c r="C17" s="40">
        <f>C16*C12+C16</f>
        <v>1611720</v>
      </c>
      <c r="D17" s="40">
        <f>(C17+B17+D16)*1.15</f>
        <v>1875575.6615048726</v>
      </c>
      <c r="E17" s="33">
        <v>0</v>
      </c>
      <c r="F17" s="33">
        <v>0</v>
      </c>
      <c r="G17" s="33">
        <v>0</v>
      </c>
      <c r="H17" s="33">
        <v>0</v>
      </c>
      <c r="I17" s="42">
        <v>0</v>
      </c>
    </row>
    <row r="18" spans="1:9" x14ac:dyDescent="0.25">
      <c r="A18" s="49">
        <v>2021</v>
      </c>
      <c r="B18" s="40">
        <f>B17*C11+B17</f>
        <v>-865820.0625</v>
      </c>
      <c r="C18" s="40">
        <f>C17*C12+C17</f>
        <v>1772892</v>
      </c>
      <c r="D18" s="40">
        <f>(C18+B18+D17)*1.15</f>
        <v>3200044.7388556032</v>
      </c>
      <c r="E18" s="33">
        <v>0</v>
      </c>
      <c r="F18" s="33">
        <v>0</v>
      </c>
      <c r="G18" s="33">
        <v>0</v>
      </c>
      <c r="H18" s="33">
        <v>0</v>
      </c>
      <c r="I18" s="42">
        <v>0</v>
      </c>
    </row>
    <row r="19" spans="1:9" x14ac:dyDescent="0.25">
      <c r="A19" s="49">
        <v>2022</v>
      </c>
      <c r="B19" s="40">
        <f>B18*C11+B18</f>
        <v>-887465.56406250002</v>
      </c>
      <c r="C19" s="40">
        <f>C18*C12+C18</f>
        <v>1950181.2</v>
      </c>
      <c r="D19" s="40">
        <f>(C19+B19+D18-G19)*1.15</f>
        <v>632799.43101206841</v>
      </c>
      <c r="E19" s="33">
        <v>0</v>
      </c>
      <c r="F19" s="33">
        <v>0</v>
      </c>
      <c r="G19" s="2">
        <f>C7*C11*5+C7</f>
        <v>3712500</v>
      </c>
      <c r="H19" s="33">
        <v>0</v>
      </c>
      <c r="I19" s="42">
        <v>0</v>
      </c>
    </row>
    <row r="20" spans="1:9" x14ac:dyDescent="0.25">
      <c r="A20" s="49">
        <v>2023</v>
      </c>
      <c r="B20" s="40">
        <f>B19*C11+B19</f>
        <v>-909652.20316406258</v>
      </c>
      <c r="C20" s="40">
        <f>C19*C12+C19</f>
        <v>2145199.3199999998</v>
      </c>
      <c r="D20" s="40">
        <f>(C20+B20+D19)*1.15</f>
        <v>2148598.5300252065</v>
      </c>
      <c r="E20" s="33">
        <v>0</v>
      </c>
      <c r="F20" s="33">
        <v>0</v>
      </c>
      <c r="G20" s="33">
        <v>0</v>
      </c>
      <c r="H20" s="33">
        <v>0</v>
      </c>
      <c r="I20" s="42">
        <v>0</v>
      </c>
    </row>
    <row r="21" spans="1:9" x14ac:dyDescent="0.25">
      <c r="A21" s="49">
        <v>2024</v>
      </c>
      <c r="B21" s="40">
        <f>(B20+120000)*C11+(B20+120000)</f>
        <v>-809393.50824316416</v>
      </c>
      <c r="C21" s="40">
        <f>C20*C12+C20</f>
        <v>2359719.2519999999</v>
      </c>
      <c r="D21" s="40">
        <f>(C21+B21+D20-H21)*1.15</f>
        <v>3195762.9148493484</v>
      </c>
      <c r="E21" s="33">
        <v>0</v>
      </c>
      <c r="F21" s="33">
        <v>0</v>
      </c>
      <c r="G21" s="33">
        <v>0</v>
      </c>
      <c r="H21" s="2">
        <f>C6*C11*6+C6</f>
        <v>920000</v>
      </c>
      <c r="I21" s="42">
        <v>0</v>
      </c>
    </row>
    <row r="22" spans="1:9" ht="15.75" thickBot="1" x14ac:dyDescent="0.3">
      <c r="A22" s="50">
        <v>2025</v>
      </c>
      <c r="B22" s="43">
        <f>B21*C11+B21</f>
        <v>-829628.34594924329</v>
      </c>
      <c r="C22" s="43">
        <f>C21*C12+C21</f>
        <v>2595691.1771999998</v>
      </c>
      <c r="D22" s="43">
        <f>(D21+C22+B22)*1.15</f>
        <v>5706099.608015121</v>
      </c>
      <c r="E22" s="44">
        <v>0</v>
      </c>
      <c r="F22" s="44">
        <v>0</v>
      </c>
      <c r="G22" s="44">
        <v>0</v>
      </c>
      <c r="H22" s="44">
        <v>0</v>
      </c>
      <c r="I22" s="45">
        <v>5000000</v>
      </c>
    </row>
  </sheetData>
  <mergeCells count="1">
    <mergeCell ref="A1:I2"/>
  </mergeCell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tabSelected="1" topLeftCell="A4" zoomScale="90" zoomScaleNormal="90" workbookViewId="0">
      <pane xSplit="2" ySplit="2" topLeftCell="C6" activePane="bottomRight" state="frozen"/>
      <selection activeCell="A4" sqref="A4"/>
      <selection pane="topRight" activeCell="C4" sqref="C4"/>
      <selection pane="bottomLeft" activeCell="A6" sqref="A6"/>
      <selection pane="bottomRight" activeCell="B31" sqref="B31"/>
    </sheetView>
  </sheetViews>
  <sheetFormatPr defaultRowHeight="15" x14ac:dyDescent="0.25"/>
  <cols>
    <col min="1" max="1" width="1.140625" customWidth="1"/>
    <col min="2" max="2" width="21.85546875" bestFit="1" customWidth="1"/>
    <col min="3" max="14" width="17.7109375" bestFit="1" customWidth="1"/>
    <col min="15" max="15" width="19" bestFit="1" customWidth="1"/>
  </cols>
  <sheetData>
    <row r="1" spans="2:15" x14ac:dyDescent="0.25">
      <c r="C1" s="1"/>
      <c r="D1" s="1"/>
    </row>
    <row r="2" spans="2:15" x14ac:dyDescent="0.25">
      <c r="C2" s="4"/>
      <c r="D2" s="4"/>
    </row>
    <row r="4" spans="2:15" ht="15.75" thickBot="1" x14ac:dyDescent="0.3"/>
    <row r="5" spans="2:15" ht="15.75" thickBot="1" x14ac:dyDescent="0.3">
      <c r="B5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22</v>
      </c>
      <c r="L5" s="7" t="s">
        <v>23</v>
      </c>
      <c r="M5" s="7" t="s">
        <v>24</v>
      </c>
      <c r="N5" s="7" t="s">
        <v>25</v>
      </c>
      <c r="O5" s="12" t="s">
        <v>32</v>
      </c>
    </row>
    <row r="6" spans="2:15" x14ac:dyDescent="0.25">
      <c r="B6" t="s">
        <v>26</v>
      </c>
      <c r="C6" s="21">
        <v>20000</v>
      </c>
      <c r="D6" s="4">
        <f>Таблица6[[#Totals],[янв.18]]</f>
        <v>18000</v>
      </c>
      <c r="E6" s="4">
        <f>Таблица6[[#Totals],[фев.18]]</f>
        <v>16000</v>
      </c>
      <c r="F6" s="4">
        <f>Таблица6[[#Totals],[мар.18]]</f>
        <v>14000</v>
      </c>
      <c r="G6" s="4">
        <f>Таблица6[[#Totals],[апр.18]]</f>
        <v>12000</v>
      </c>
      <c r="H6" s="4">
        <f>Таблица6[[#Totals],[май.18]]</f>
        <v>10000</v>
      </c>
      <c r="I6" s="4">
        <f>Таблица6[[#Totals],[июн.18]]</f>
        <v>8000</v>
      </c>
      <c r="J6" s="4">
        <f>Таблица6[[#Totals],[июл.18]]</f>
        <v>6000</v>
      </c>
      <c r="K6" s="4">
        <f>Таблица6[[#Totals],[авг.18]]</f>
        <v>4000</v>
      </c>
      <c r="L6" s="4">
        <f>Таблица6[[#Totals],[сен.18]]</f>
        <v>2000</v>
      </c>
      <c r="M6" s="4">
        <f>Таблица6[[#Totals],[окт.18]]</f>
        <v>0</v>
      </c>
      <c r="N6" s="4">
        <f>Таблица6[[#Totals],[ноя.18]]</f>
        <v>3000</v>
      </c>
      <c r="O6" s="9">
        <v>0</v>
      </c>
    </row>
    <row r="7" spans="2:15" x14ac:dyDescent="0.25">
      <c r="B7" t="s">
        <v>37</v>
      </c>
      <c r="C7" s="21">
        <v>-5000</v>
      </c>
      <c r="D7" s="21">
        <f>Таблица6[[#This Row],[янв.18]]</f>
        <v>-5000</v>
      </c>
      <c r="E7" s="21">
        <f>Таблица6[[#This Row],[фев.18]]</f>
        <v>-5000</v>
      </c>
      <c r="F7" s="21">
        <f>Таблица6[[#This Row],[мар.18]]</f>
        <v>-5000</v>
      </c>
      <c r="G7" s="21">
        <f>Таблица6[[#This Row],[апр.18]]</f>
        <v>-5000</v>
      </c>
      <c r="H7" s="21">
        <f>Таблица6[[#This Row],[май.18]]</f>
        <v>-5000</v>
      </c>
      <c r="I7" s="21">
        <f>Таблица6[[#This Row],[июн.18]]</f>
        <v>-5000</v>
      </c>
      <c r="J7" s="21">
        <f>Таблица6[[#This Row],[июл.18]]</f>
        <v>-5000</v>
      </c>
      <c r="K7" s="21">
        <f>Таблица6[[#This Row],[авг.18]]</f>
        <v>-5000</v>
      </c>
      <c r="L7" s="21">
        <f>Таблица6[[#This Row],[сен.18]]</f>
        <v>-5000</v>
      </c>
      <c r="M7" s="21">
        <v>-5000</v>
      </c>
      <c r="N7" s="21">
        <v>-5000</v>
      </c>
      <c r="O7" s="11">
        <f>SUM(Таблица6[[#This Row],[янв.18]:[дек.18]])</f>
        <v>-60000</v>
      </c>
    </row>
    <row r="8" spans="2:15" x14ac:dyDescent="0.25">
      <c r="B8" t="s">
        <v>36</v>
      </c>
      <c r="C8" s="21">
        <v>-20000</v>
      </c>
      <c r="D8" s="21">
        <f>Таблица6[[#This Row],[янв.18]]</f>
        <v>-20000</v>
      </c>
      <c r="E8" s="21">
        <f>Таблица6[[#This Row],[фев.18]]</f>
        <v>-20000</v>
      </c>
      <c r="F8" s="21">
        <f>Таблица6[[#This Row],[мар.18]]</f>
        <v>-20000</v>
      </c>
      <c r="G8" s="21">
        <f>Таблица6[[#This Row],[апр.18]]</f>
        <v>-20000</v>
      </c>
      <c r="H8" s="21">
        <f>Таблица6[[#This Row],[май.18]]</f>
        <v>-20000</v>
      </c>
      <c r="I8" s="21">
        <f>Таблица6[[#This Row],[июн.18]]</f>
        <v>-20000</v>
      </c>
      <c r="J8" s="21">
        <f>Таблица6[[#This Row],[июл.18]]</f>
        <v>-20000</v>
      </c>
      <c r="K8" s="21">
        <f>Таблица6[[#This Row],[авг.18]]</f>
        <v>-20000</v>
      </c>
      <c r="L8" s="21">
        <f>Таблица6[[#This Row],[сен.18]]</f>
        <v>-20000</v>
      </c>
      <c r="M8" s="21">
        <v>-20000</v>
      </c>
      <c r="N8" s="21">
        <v>-20000</v>
      </c>
      <c r="O8" s="10">
        <f>SUM(Таблица6[[#This Row],[янв.18]:[дек.18]])</f>
        <v>-240000</v>
      </c>
    </row>
    <row r="9" spans="2:15" x14ac:dyDescent="0.25">
      <c r="B9" t="s">
        <v>4</v>
      </c>
      <c r="C9" s="21">
        <v>-17000</v>
      </c>
      <c r="D9" s="21">
        <f>Таблица6[[#This Row],[янв.18]]</f>
        <v>-17000</v>
      </c>
      <c r="E9" s="21">
        <f>Таблица6[[#This Row],[фев.18]]</f>
        <v>-17000</v>
      </c>
      <c r="F9" s="21">
        <f>Таблица6[[#This Row],[мар.18]]</f>
        <v>-17000</v>
      </c>
      <c r="G9" s="21">
        <f>Таблица6[[#This Row],[апр.18]]</f>
        <v>-17000</v>
      </c>
      <c r="H9" s="21">
        <f>Таблица6[[#This Row],[май.18]]</f>
        <v>-17000</v>
      </c>
      <c r="I9" s="21">
        <f>Таблица6[[#This Row],[июн.18]]</f>
        <v>-17000</v>
      </c>
      <c r="J9" s="21">
        <f>Таблица6[[#This Row],[июл.18]]</f>
        <v>-17000</v>
      </c>
      <c r="K9" s="21">
        <f>Таблица6[[#This Row],[авг.18]]</f>
        <v>-17000</v>
      </c>
      <c r="L9" s="21">
        <f>Таблица6[[#This Row],[сен.18]]</f>
        <v>-17000</v>
      </c>
      <c r="M9" s="21">
        <v>-17000</v>
      </c>
      <c r="N9" s="21">
        <v>-17000</v>
      </c>
      <c r="O9" s="10">
        <f>SUM(Таблица6[[#This Row],[янв.18]:[дек.18]])</f>
        <v>-204000</v>
      </c>
    </row>
    <row r="10" spans="2:15" x14ac:dyDescent="0.25">
      <c r="B10" t="s">
        <v>5</v>
      </c>
      <c r="C10" s="21">
        <v>-5000</v>
      </c>
      <c r="D10" s="21">
        <f>Таблица6[[#This Row],[янв.18]]</f>
        <v>-5000</v>
      </c>
      <c r="E10" s="21">
        <f>Таблица6[[#This Row],[фев.18]]</f>
        <v>-5000</v>
      </c>
      <c r="F10" s="21">
        <f>Таблица6[[#This Row],[мар.18]]</f>
        <v>-5000</v>
      </c>
      <c r="G10" s="21">
        <f>Таблица6[[#This Row],[апр.18]]</f>
        <v>-5000</v>
      </c>
      <c r="H10" s="21">
        <f>Таблица6[[#This Row],[май.18]]</f>
        <v>-5000</v>
      </c>
      <c r="I10" s="21">
        <f>Таблица6[[#This Row],[июн.18]]</f>
        <v>-5000</v>
      </c>
      <c r="J10" s="21">
        <f>Таблица6[[#This Row],[июл.18]]</f>
        <v>-5000</v>
      </c>
      <c r="K10" s="21">
        <f>Таблица6[[#This Row],[авг.18]]</f>
        <v>-5000</v>
      </c>
      <c r="L10" s="21">
        <f>Таблица6[[#This Row],[сен.18]]</f>
        <v>-5000</v>
      </c>
      <c r="M10" s="21">
        <v>-5000</v>
      </c>
      <c r="N10" s="21">
        <v>-5000</v>
      </c>
      <c r="O10" s="10">
        <f>SUM(Таблица6[[#This Row],[янв.18]:[дек.18]])</f>
        <v>-60000</v>
      </c>
    </row>
    <row r="11" spans="2:15" x14ac:dyDescent="0.25">
      <c r="B11" t="s">
        <v>9</v>
      </c>
      <c r="C11" s="21">
        <v>-1000</v>
      </c>
      <c r="D11" s="21">
        <f>Таблица6[[#This Row],[янв.18]]</f>
        <v>-1000</v>
      </c>
      <c r="E11" s="21">
        <f>Таблица6[[#This Row],[фев.18]]</f>
        <v>-1000</v>
      </c>
      <c r="F11" s="21">
        <f>Таблица6[[#This Row],[мар.18]]</f>
        <v>-1000</v>
      </c>
      <c r="G11" s="21">
        <f>Таблица6[[#This Row],[апр.18]]</f>
        <v>-1000</v>
      </c>
      <c r="H11" s="21">
        <f>Таблица6[[#This Row],[май.18]]</f>
        <v>-1000</v>
      </c>
      <c r="I11" s="21">
        <f>Таблица6[[#This Row],[июн.18]]</f>
        <v>-1000</v>
      </c>
      <c r="J11" s="21">
        <f>Таблица6[[#This Row],[июл.18]]</f>
        <v>-1000</v>
      </c>
      <c r="K11" s="21">
        <f>Таблица6[[#This Row],[авг.18]]</f>
        <v>-1000</v>
      </c>
      <c r="L11" s="21">
        <f>Таблица6[[#This Row],[сен.18]]</f>
        <v>-1000</v>
      </c>
      <c r="M11" s="21">
        <v>-1000</v>
      </c>
      <c r="N11" s="21">
        <v>-1000</v>
      </c>
      <c r="O11" s="10">
        <f>SUM(Таблица6[[#This Row],[янв.18]:[дек.18]])</f>
        <v>-12000</v>
      </c>
    </row>
    <row r="12" spans="2:15" x14ac:dyDescent="0.25">
      <c r="B12" t="s">
        <v>6</v>
      </c>
      <c r="C12" s="21">
        <v>-5000</v>
      </c>
      <c r="D12" s="21">
        <f>Таблица6[[#This Row],[янв.18]]</f>
        <v>-5000</v>
      </c>
      <c r="E12" s="21">
        <f>Таблица6[[#This Row],[фев.18]]</f>
        <v>-5000</v>
      </c>
      <c r="F12" s="21">
        <f>Таблица6[[#This Row],[мар.18]]</f>
        <v>-5000</v>
      </c>
      <c r="G12" s="21">
        <f>Таблица6[[#This Row],[апр.18]]</f>
        <v>-5000</v>
      </c>
      <c r="H12" s="21">
        <f>Таблица6[[#This Row],[май.18]]</f>
        <v>-5000</v>
      </c>
      <c r="I12" s="21">
        <f>Таблица6[[#This Row],[июн.18]]</f>
        <v>-5000</v>
      </c>
      <c r="J12" s="21">
        <f>Таблица6[[#This Row],[июл.18]]</f>
        <v>-5000</v>
      </c>
      <c r="K12" s="21">
        <f>Таблица6[[#This Row],[авг.18]]</f>
        <v>-5000</v>
      </c>
      <c r="L12" s="21">
        <f>Таблица6[[#This Row],[сен.18]]</f>
        <v>-5000</v>
      </c>
      <c r="M12" s="21">
        <v>-5000</v>
      </c>
      <c r="N12" s="21">
        <v>-5000</v>
      </c>
      <c r="O12" s="10">
        <f>SUM(Таблица6[[#This Row],[янв.18]:[дек.18]])</f>
        <v>-60000</v>
      </c>
    </row>
    <row r="13" spans="2:15" x14ac:dyDescent="0.25">
      <c r="B13" t="s">
        <v>12</v>
      </c>
      <c r="C13" s="21">
        <v>-4000</v>
      </c>
      <c r="D13" s="21">
        <f>Таблица6[[#This Row],[янв.18]]</f>
        <v>-4000</v>
      </c>
      <c r="E13" s="21">
        <f>Таблица6[[#This Row],[фев.18]]</f>
        <v>-4000</v>
      </c>
      <c r="F13" s="21">
        <f>Таблица6[[#This Row],[мар.18]]</f>
        <v>-4000</v>
      </c>
      <c r="G13" s="21">
        <f>Таблица6[[#This Row],[апр.18]]</f>
        <v>-4000</v>
      </c>
      <c r="H13" s="21">
        <f>Таблица6[[#This Row],[май.18]]</f>
        <v>-4000</v>
      </c>
      <c r="I13" s="21">
        <f>Таблица6[[#This Row],[июн.18]]</f>
        <v>-4000</v>
      </c>
      <c r="J13" s="21">
        <f>Таблица6[[#This Row],[июл.18]]</f>
        <v>-4000</v>
      </c>
      <c r="K13" s="21">
        <f>Таблица6[[#This Row],[авг.18]]</f>
        <v>-4000</v>
      </c>
      <c r="L13" s="21">
        <f>Таблица6[[#This Row],[сен.18]]</f>
        <v>-4000</v>
      </c>
      <c r="M13" s="21">
        <v>-4000</v>
      </c>
      <c r="N13" s="21">
        <v>-4000</v>
      </c>
      <c r="O13" s="10">
        <f>SUM(Таблица6[[#This Row],[янв.18]:[дек.18]])</f>
        <v>-48000</v>
      </c>
    </row>
    <row r="14" spans="2:15" x14ac:dyDescent="0.25">
      <c r="B14" t="s">
        <v>7</v>
      </c>
      <c r="C14" s="21">
        <v>-7000</v>
      </c>
      <c r="D14" s="21">
        <f>Таблица6[[#This Row],[янв.18]]</f>
        <v>-7000</v>
      </c>
      <c r="E14" s="21">
        <f>Таблица6[[#This Row],[фев.18]]</f>
        <v>-7000</v>
      </c>
      <c r="F14" s="21">
        <f>Таблица6[[#This Row],[мар.18]]</f>
        <v>-7000</v>
      </c>
      <c r="G14" s="21">
        <f>Таблица6[[#This Row],[апр.18]]</f>
        <v>-7000</v>
      </c>
      <c r="H14" s="21">
        <f>Таблица6[[#This Row],[май.18]]</f>
        <v>-7000</v>
      </c>
      <c r="I14" s="21">
        <f>Таблица6[[#This Row],[июн.18]]</f>
        <v>-7000</v>
      </c>
      <c r="J14" s="21">
        <f>Таблица6[[#This Row],[июл.18]]</f>
        <v>-7000</v>
      </c>
      <c r="K14" s="21">
        <f>Таблица6[[#This Row],[авг.18]]</f>
        <v>-7000</v>
      </c>
      <c r="L14" s="21">
        <f>Таблица6[[#This Row],[сен.18]]</f>
        <v>-7000</v>
      </c>
      <c r="M14" s="21">
        <v>-7000</v>
      </c>
      <c r="N14" s="21">
        <v>-7000</v>
      </c>
      <c r="O14" s="10">
        <f>SUM(Таблица6[[#This Row],[янв.18]:[дек.18]])</f>
        <v>-84000</v>
      </c>
    </row>
    <row r="15" spans="2:15" x14ac:dyDescent="0.25">
      <c r="B15" t="s">
        <v>8</v>
      </c>
      <c r="C15" s="21">
        <v>-3000</v>
      </c>
      <c r="D15" s="21">
        <f>Таблица6[[#This Row],[янв.18]]</f>
        <v>-3000</v>
      </c>
      <c r="E15" s="21">
        <f>Таблица6[[#This Row],[фев.18]]</f>
        <v>-3000</v>
      </c>
      <c r="F15" s="21">
        <f>Таблица6[[#This Row],[мар.18]]</f>
        <v>-3000</v>
      </c>
      <c r="G15" s="21">
        <f>Таблица6[[#This Row],[апр.18]]</f>
        <v>-3000</v>
      </c>
      <c r="H15" s="21">
        <f>Таблица6[[#This Row],[май.18]]</f>
        <v>-3000</v>
      </c>
      <c r="I15" s="21">
        <f>Таблица6[[#This Row],[июн.18]]</f>
        <v>-3000</v>
      </c>
      <c r="J15" s="21">
        <f>Таблица6[[#This Row],[июл.18]]</f>
        <v>-3000</v>
      </c>
      <c r="K15" s="21">
        <f>Таблица6[[#This Row],[авг.18]]</f>
        <v>-3000</v>
      </c>
      <c r="L15" s="21">
        <f>Таблица6[[#This Row],[сен.18]]</f>
        <v>-3000</v>
      </c>
      <c r="M15" s="21">
        <v>-3000</v>
      </c>
      <c r="N15" s="21">
        <v>-3000</v>
      </c>
      <c r="O15" s="10">
        <f>SUM(Таблица6[[#This Row],[янв.18]:[дек.18]])</f>
        <v>-36000</v>
      </c>
    </row>
    <row r="16" spans="2:15" x14ac:dyDescent="0.25">
      <c r="B16" t="s">
        <v>38</v>
      </c>
      <c r="C16" s="21">
        <v>-6000</v>
      </c>
      <c r="D16" s="21">
        <f>Таблица6[[#This Row],[янв.18]]</f>
        <v>-6000</v>
      </c>
      <c r="E16" s="21">
        <f>Таблица6[[#This Row],[фев.18]]</f>
        <v>-6000</v>
      </c>
      <c r="F16" s="21">
        <f>Таблица6[[#This Row],[мар.18]]</f>
        <v>-6000</v>
      </c>
      <c r="G16" s="21">
        <f>Таблица6[[#This Row],[апр.18]]</f>
        <v>-6000</v>
      </c>
      <c r="H16" s="21">
        <f>Таблица6[[#This Row],[май.18]]</f>
        <v>-6000</v>
      </c>
      <c r="I16" s="21">
        <f>Таблица6[[#This Row],[июн.18]]</f>
        <v>-6000</v>
      </c>
      <c r="J16" s="21">
        <f>Таблица6[[#This Row],[июл.18]]</f>
        <v>-6000</v>
      </c>
      <c r="K16" s="21">
        <f>Таблица6[[#This Row],[авг.18]]</f>
        <v>-6000</v>
      </c>
      <c r="L16" s="21">
        <f>Таблица6[[#This Row],[сен.18]]</f>
        <v>-6000</v>
      </c>
      <c r="M16" s="21">
        <v>-6000</v>
      </c>
      <c r="N16" s="21">
        <v>-6000</v>
      </c>
      <c r="O16" s="10">
        <f>SUM(Таблица6[[#This Row],[янв.18]:[дек.18]])</f>
        <v>-72000</v>
      </c>
    </row>
    <row r="17" spans="2:15" x14ac:dyDescent="0.25">
      <c r="B17" t="s">
        <v>39</v>
      </c>
      <c r="C17" s="21">
        <v>-5000</v>
      </c>
      <c r="D17" s="21">
        <f>Таблица6[[#This Row],[янв.18]]</f>
        <v>-5000</v>
      </c>
      <c r="E17" s="21">
        <f>Таблица6[[#This Row],[фев.18]]</f>
        <v>-5000</v>
      </c>
      <c r="F17" s="21">
        <f>Таблица6[[#This Row],[мар.18]]</f>
        <v>-5000</v>
      </c>
      <c r="G17" s="21">
        <f>Таблица6[[#This Row],[апр.18]]</f>
        <v>-5000</v>
      </c>
      <c r="H17" s="21">
        <f>Таблица6[[#This Row],[май.18]]</f>
        <v>-5000</v>
      </c>
      <c r="I17" s="21">
        <f>Таблица6[[#This Row],[июн.18]]</f>
        <v>-5000</v>
      </c>
      <c r="J17" s="21">
        <f>Таблица6[[#This Row],[июл.18]]</f>
        <v>-5000</v>
      </c>
      <c r="K17" s="21">
        <f>Таблица6[[#This Row],[авг.18]]</f>
        <v>-5000</v>
      </c>
      <c r="L17" s="21">
        <f>Таблица6[[#This Row],[сен.18]]</f>
        <v>-5000</v>
      </c>
      <c r="M17" s="21">
        <v>-5000</v>
      </c>
      <c r="N17" s="21">
        <v>-5000</v>
      </c>
      <c r="O17" s="10">
        <f>SUM(Таблица6[[#This Row],[янв.18]:[дек.18]])</f>
        <v>-60000</v>
      </c>
    </row>
    <row r="18" spans="2:15" x14ac:dyDescent="0.25">
      <c r="B18" s="27" t="s">
        <v>34</v>
      </c>
      <c r="C18" s="28">
        <v>-10000</v>
      </c>
      <c r="D18" s="21">
        <f>Таблица6[[#This Row],[янв.18]]</f>
        <v>-10000</v>
      </c>
      <c r="E18" s="21">
        <f>Таблица6[[#This Row],[фев.18]]</f>
        <v>-10000</v>
      </c>
      <c r="F18" s="21">
        <f>Таблица6[[#This Row],[мар.18]]</f>
        <v>-10000</v>
      </c>
      <c r="G18" s="21">
        <f>Таблица6[[#This Row],[апр.18]]</f>
        <v>-10000</v>
      </c>
      <c r="H18" s="21">
        <f>Таблица6[[#This Row],[май.18]]</f>
        <v>-10000</v>
      </c>
      <c r="I18" s="21">
        <f>Таблица6[[#This Row],[июн.18]]</f>
        <v>-10000</v>
      </c>
      <c r="J18" s="21">
        <f>Таблица6[[#This Row],[июл.18]]</f>
        <v>-10000</v>
      </c>
      <c r="K18" s="21">
        <f>Таблица6[[#This Row],[авг.18]]</f>
        <v>-10000</v>
      </c>
      <c r="L18" s="21">
        <f>Таблица6[[#This Row],[сен.18]]</f>
        <v>-10000</v>
      </c>
      <c r="M18" s="28">
        <v>-10000</v>
      </c>
      <c r="N18" s="28">
        <v>-10000</v>
      </c>
      <c r="O18" s="29">
        <f>SUM(Таблица6[[#This Row],[янв.18]:[дек.18]])</f>
        <v>-120000</v>
      </c>
    </row>
    <row r="19" spans="2:15" s="25" customFormat="1" ht="18.75" x14ac:dyDescent="0.3">
      <c r="B19" s="30" t="s">
        <v>11</v>
      </c>
      <c r="C19" s="31">
        <v>-25000</v>
      </c>
      <c r="D19" s="21">
        <f>Таблица6[[#This Row],[янв.18]]</f>
        <v>-25000</v>
      </c>
      <c r="E19" s="21">
        <f>Таблица6[[#This Row],[фев.18]]</f>
        <v>-25000</v>
      </c>
      <c r="F19" s="21">
        <f>Таблица6[[#This Row],[мар.18]]</f>
        <v>-25000</v>
      </c>
      <c r="G19" s="21">
        <f>Таблица6[[#This Row],[апр.18]]</f>
        <v>-25000</v>
      </c>
      <c r="H19" s="21">
        <f>Таблица6[[#This Row],[май.18]]</f>
        <v>-25000</v>
      </c>
      <c r="I19" s="21">
        <f>Таблица6[[#This Row],[июн.18]]</f>
        <v>-25000</v>
      </c>
      <c r="J19" s="21">
        <f>Таблица6[[#This Row],[июл.18]]</f>
        <v>-25000</v>
      </c>
      <c r="K19" s="21">
        <f>Таблица6[[#This Row],[авг.18]]</f>
        <v>-25000</v>
      </c>
      <c r="L19" s="21">
        <f>Таблица6[[#This Row],[сен.18]]</f>
        <v>-25000</v>
      </c>
      <c r="M19" s="31">
        <v>-20000</v>
      </c>
      <c r="N19" s="31">
        <v>-20000</v>
      </c>
      <c r="O19" s="32">
        <f>SUM(Таблица6[[#This Row],[янв.18]:[дек.18]])</f>
        <v>-290000</v>
      </c>
    </row>
    <row r="20" spans="2:15" x14ac:dyDescent="0.25">
      <c r="B20" t="s">
        <v>40</v>
      </c>
      <c r="C20" s="21">
        <v>50000</v>
      </c>
      <c r="D20" s="21">
        <f>Таблица6[[#This Row],[янв.18]]</f>
        <v>50000</v>
      </c>
      <c r="E20" s="21">
        <f>Таблица6[[#This Row],[фев.18]]</f>
        <v>50000</v>
      </c>
      <c r="F20" s="21">
        <f>Таблица6[[#This Row],[мар.18]]</f>
        <v>50000</v>
      </c>
      <c r="G20" s="21">
        <f>Таблица6[[#This Row],[апр.18]]</f>
        <v>50000</v>
      </c>
      <c r="H20" s="21">
        <f>Таблица6[[#This Row],[май.18]]</f>
        <v>50000</v>
      </c>
      <c r="I20" s="21">
        <f>Таблица6[[#This Row],[июн.18]]</f>
        <v>50000</v>
      </c>
      <c r="J20" s="21">
        <f>Таблица6[[#This Row],[июл.18]]</f>
        <v>50000</v>
      </c>
      <c r="K20" s="21">
        <f>Таблица6[[#This Row],[авг.18]]</f>
        <v>50000</v>
      </c>
      <c r="L20" s="21">
        <f>Таблица6[[#This Row],[сен.18]]</f>
        <v>50000</v>
      </c>
      <c r="M20" s="21">
        <f>Таблица6[[#This Row],[окт.18]]</f>
        <v>50000</v>
      </c>
      <c r="N20" s="21">
        <f>Таблица6[[#This Row],[ноя.18]]</f>
        <v>50000</v>
      </c>
      <c r="O20" s="10">
        <f>SUM(Таблица6[[#This Row],[янв.18]:[дек.18]])</f>
        <v>600000</v>
      </c>
    </row>
    <row r="21" spans="2:15" x14ac:dyDescent="0.25">
      <c r="B21" t="s">
        <v>41</v>
      </c>
      <c r="C21" s="21">
        <v>40000</v>
      </c>
      <c r="D21" s="21">
        <f>Таблица6[[#This Row],[янв.18]]</f>
        <v>40000</v>
      </c>
      <c r="E21" s="21">
        <f>Таблица6[[#This Row],[фев.18]]</f>
        <v>40000</v>
      </c>
      <c r="F21" s="21">
        <f>Таблица6[[#This Row],[мар.18]]</f>
        <v>40000</v>
      </c>
      <c r="G21" s="21">
        <f>Таблица6[[#This Row],[апр.18]]</f>
        <v>40000</v>
      </c>
      <c r="H21" s="21">
        <f>Таблица6[[#This Row],[май.18]]</f>
        <v>40000</v>
      </c>
      <c r="I21" s="21">
        <f>Таблица6[[#This Row],[июн.18]]</f>
        <v>40000</v>
      </c>
      <c r="J21" s="21">
        <f>Таблица6[[#This Row],[июл.18]]</f>
        <v>40000</v>
      </c>
      <c r="K21" s="21">
        <f>Таблица6[[#This Row],[авг.18]]</f>
        <v>40000</v>
      </c>
      <c r="L21" s="21">
        <f>Таблица6[[#This Row],[сен.18]]</f>
        <v>40000</v>
      </c>
      <c r="M21" s="21">
        <f>Таблица6[[#This Row],[окт.18]]</f>
        <v>40000</v>
      </c>
      <c r="N21" s="21">
        <f>Таблица6[[#This Row],[ноя.18]]</f>
        <v>40000</v>
      </c>
      <c r="O21" s="10">
        <f>SUM(Таблица6[[#This Row],[янв.18]:[дек.18]])</f>
        <v>480000</v>
      </c>
    </row>
    <row r="22" spans="2:15" x14ac:dyDescent="0.25">
      <c r="B22" t="s">
        <v>8</v>
      </c>
      <c r="C22" s="21">
        <v>18000</v>
      </c>
      <c r="D22" s="21">
        <f>Таблица6[[#This Row],[янв.18]]</f>
        <v>18000</v>
      </c>
      <c r="E22" s="21">
        <f>Таблица6[[#This Row],[фев.18]]</f>
        <v>18000</v>
      </c>
      <c r="F22" s="21">
        <f>Таблица6[[#This Row],[мар.18]]</f>
        <v>18000</v>
      </c>
      <c r="G22" s="21">
        <f>Таблица6[[#This Row],[апр.18]]</f>
        <v>18000</v>
      </c>
      <c r="H22" s="21">
        <f>Таблица6[[#This Row],[май.18]]</f>
        <v>18000</v>
      </c>
      <c r="I22" s="21">
        <f>Таблица6[[#This Row],[июн.18]]</f>
        <v>18000</v>
      </c>
      <c r="J22" s="21">
        <f>Таблица6[[#This Row],[июл.18]]</f>
        <v>18000</v>
      </c>
      <c r="K22" s="21">
        <f>Таблица6[[#This Row],[авг.18]]</f>
        <v>18000</v>
      </c>
      <c r="L22" s="21">
        <f>Таблица6[[#This Row],[сен.18]]</f>
        <v>18000</v>
      </c>
      <c r="M22" s="21">
        <f>Таблица6[[#This Row],[окт.18]]</f>
        <v>18000</v>
      </c>
      <c r="N22" s="21">
        <f>Таблица6[[#This Row],[ноя.18]]</f>
        <v>18000</v>
      </c>
      <c r="O22" s="10">
        <f>SUM(Таблица6[[#This Row],[янв.18]:[дек.18]])</f>
        <v>216000</v>
      </c>
    </row>
    <row r="23" spans="2:15" x14ac:dyDescent="0.25">
      <c r="B23" t="s">
        <v>10</v>
      </c>
      <c r="C23" s="21">
        <v>3000</v>
      </c>
      <c r="D23" s="21">
        <f>Таблица6[[#This Row],[янв.18]]</f>
        <v>3000</v>
      </c>
      <c r="E23" s="21">
        <f>Таблица6[[#This Row],[фев.18]]</f>
        <v>3000</v>
      </c>
      <c r="F23" s="21">
        <f>Таблица6[[#This Row],[мар.18]]</f>
        <v>3000</v>
      </c>
      <c r="G23" s="21">
        <f>Таблица6[[#This Row],[апр.18]]</f>
        <v>3000</v>
      </c>
      <c r="H23" s="21">
        <f>Таблица6[[#This Row],[май.18]]</f>
        <v>3000</v>
      </c>
      <c r="I23" s="21">
        <f>Таблица6[[#This Row],[июн.18]]</f>
        <v>3000</v>
      </c>
      <c r="J23" s="21">
        <f>Таблица6[[#This Row],[июл.18]]</f>
        <v>3000</v>
      </c>
      <c r="K23" s="21">
        <f>Таблица6[[#This Row],[авг.18]]</f>
        <v>3000</v>
      </c>
      <c r="L23" s="21">
        <f>Таблица6[[#This Row],[сен.18]]</f>
        <v>3000</v>
      </c>
      <c r="M23" s="21">
        <f>Таблица6[[#This Row],[окт.18]]</f>
        <v>3000</v>
      </c>
      <c r="N23" s="21">
        <f>Таблица6[[#This Row],[ноя.18]]</f>
        <v>3000</v>
      </c>
      <c r="O23" s="10">
        <f>SUM(Таблица6[[#This Row],[янв.18]:[дек.18]])</f>
        <v>36000</v>
      </c>
    </row>
    <row r="24" spans="2:15" ht="15.75" thickBot="1" x14ac:dyDescent="0.3">
      <c r="B24" t="s">
        <v>27</v>
      </c>
      <c r="C24" s="22">
        <f t="shared" ref="C24:N24" si="0">SUM(C6:C23)</f>
        <v>18000</v>
      </c>
      <c r="D24" s="23">
        <f t="shared" si="0"/>
        <v>16000</v>
      </c>
      <c r="E24" s="23">
        <f t="shared" si="0"/>
        <v>14000</v>
      </c>
      <c r="F24" s="23">
        <f t="shared" si="0"/>
        <v>12000</v>
      </c>
      <c r="G24" s="23">
        <f t="shared" si="0"/>
        <v>10000</v>
      </c>
      <c r="H24" s="23">
        <f t="shared" si="0"/>
        <v>8000</v>
      </c>
      <c r="I24" s="23">
        <f t="shared" si="0"/>
        <v>6000</v>
      </c>
      <c r="J24" s="23">
        <f t="shared" si="0"/>
        <v>4000</v>
      </c>
      <c r="K24" s="23">
        <f t="shared" si="0"/>
        <v>2000</v>
      </c>
      <c r="L24" s="23">
        <f t="shared" si="0"/>
        <v>0</v>
      </c>
      <c r="M24" s="23">
        <f t="shared" si="0"/>
        <v>3000</v>
      </c>
      <c r="N24" s="23">
        <f t="shared" si="0"/>
        <v>6000</v>
      </c>
      <c r="O24" s="24" t="s">
        <v>35</v>
      </c>
    </row>
    <row r="25" spans="2:15" ht="15.75" thickBot="1" x14ac:dyDescent="0.3">
      <c r="B25" s="52" t="s">
        <v>3</v>
      </c>
      <c r="C25" s="53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5"/>
    </row>
    <row r="26" spans="2:15" x14ac:dyDescent="0.25">
      <c r="B26" s="14">
        <f>O29</f>
        <v>343132.91985245579</v>
      </c>
      <c r="C26" s="13">
        <v>43101</v>
      </c>
      <c r="D26" s="13">
        <v>43132</v>
      </c>
      <c r="E26" s="13">
        <v>43160</v>
      </c>
      <c r="F26" s="13">
        <v>43191</v>
      </c>
      <c r="G26" s="13">
        <v>43221</v>
      </c>
      <c r="H26" s="13">
        <v>43252</v>
      </c>
      <c r="I26" s="13">
        <v>43282</v>
      </c>
      <c r="J26" s="13">
        <v>43313</v>
      </c>
      <c r="K26" s="13">
        <v>43344</v>
      </c>
      <c r="L26" s="13">
        <v>43374</v>
      </c>
      <c r="M26" s="13">
        <v>43405</v>
      </c>
      <c r="N26" s="15">
        <v>43435</v>
      </c>
      <c r="O26" s="16" t="s">
        <v>33</v>
      </c>
    </row>
    <row r="27" spans="2:15" x14ac:dyDescent="0.25">
      <c r="B27" s="5" t="s">
        <v>2</v>
      </c>
      <c r="C27" s="6">
        <f>-C19</f>
        <v>25000</v>
      </c>
      <c r="D27" s="6">
        <f t="shared" ref="D27:N27" si="1">C29-D19</f>
        <v>50625</v>
      </c>
      <c r="E27" s="6">
        <f t="shared" si="1"/>
        <v>76890.625</v>
      </c>
      <c r="F27" s="6">
        <f t="shared" si="1"/>
        <v>103812.890625</v>
      </c>
      <c r="G27" s="6">
        <f t="shared" si="1"/>
        <v>131408.212890625</v>
      </c>
      <c r="H27" s="6">
        <f t="shared" si="1"/>
        <v>159693.41821289062</v>
      </c>
      <c r="I27" s="6">
        <f t="shared" si="1"/>
        <v>188685.75366821288</v>
      </c>
      <c r="J27" s="6">
        <f t="shared" si="1"/>
        <v>218402.8975099182</v>
      </c>
      <c r="K27" s="6">
        <f t="shared" si="1"/>
        <v>248862.96994766613</v>
      </c>
      <c r="L27" s="6">
        <f t="shared" si="1"/>
        <v>280084.54419635778</v>
      </c>
      <c r="M27" s="6">
        <f t="shared" si="1"/>
        <v>307086.6578012667</v>
      </c>
      <c r="N27" s="6">
        <f t="shared" si="1"/>
        <v>334763.82424629835</v>
      </c>
      <c r="O27" s="17">
        <f>O19</f>
        <v>-290000</v>
      </c>
    </row>
    <row r="28" spans="2:15" x14ac:dyDescent="0.25">
      <c r="B28" s="5" t="s">
        <v>43</v>
      </c>
      <c r="C28" s="20">
        <v>1.0249999999999999</v>
      </c>
      <c r="D28" s="20">
        <v>1.0249999999999999</v>
      </c>
      <c r="E28" s="20">
        <v>1.0249999999999999</v>
      </c>
      <c r="F28" s="20">
        <v>1.0249999999999999</v>
      </c>
      <c r="G28" s="20">
        <v>1.0249999999999999</v>
      </c>
      <c r="H28" s="20">
        <v>1.0249999999999999</v>
      </c>
      <c r="I28" s="20">
        <v>1.0249999999999999</v>
      </c>
      <c r="J28" s="20">
        <v>1.0249999999999999</v>
      </c>
      <c r="K28" s="20">
        <v>1.0249999999999999</v>
      </c>
      <c r="L28" s="20">
        <v>1.0249999999999999</v>
      </c>
      <c r="M28" s="20">
        <v>1.0249999999999999</v>
      </c>
      <c r="N28" s="20">
        <v>1.0249999999999999</v>
      </c>
      <c r="O28" s="18">
        <f>N29/(-O19)-1</f>
        <v>0.18321696500846829</v>
      </c>
    </row>
    <row r="29" spans="2:15" x14ac:dyDescent="0.25">
      <c r="B29" s="5" t="s">
        <v>42</v>
      </c>
      <c r="C29" s="26">
        <f>C27*C28</f>
        <v>25624.999999999996</v>
      </c>
      <c r="D29" s="26">
        <f t="shared" ref="D29:J29" si="2">D27*D28</f>
        <v>51890.624999999993</v>
      </c>
      <c r="E29" s="26">
        <f t="shared" si="2"/>
        <v>78812.890625</v>
      </c>
      <c r="F29" s="26">
        <f t="shared" si="2"/>
        <v>106408.21289062499</v>
      </c>
      <c r="G29" s="26">
        <f t="shared" si="2"/>
        <v>134693.41821289063</v>
      </c>
      <c r="H29" s="26">
        <f t="shared" si="2"/>
        <v>163685.75366821288</v>
      </c>
      <c r="I29" s="26">
        <f t="shared" si="2"/>
        <v>193402.8975099182</v>
      </c>
      <c r="J29" s="26">
        <f t="shared" si="2"/>
        <v>223862.96994766613</v>
      </c>
      <c r="K29" s="26">
        <f t="shared" ref="K29" si="3">K27*K28</f>
        <v>255084.54419635778</v>
      </c>
      <c r="L29" s="26">
        <f t="shared" ref="L29" si="4">L27*L28</f>
        <v>287086.6578012667</v>
      </c>
      <c r="M29" s="26">
        <f t="shared" ref="M29" si="5">M27*M28</f>
        <v>314763.82424629835</v>
      </c>
      <c r="N29" s="26">
        <f t="shared" ref="N29" si="6">N27*N28</f>
        <v>343132.91985245579</v>
      </c>
      <c r="O29" s="19">
        <f>N29</f>
        <v>343132.91985245579</v>
      </c>
    </row>
  </sheetData>
  <mergeCells count="1">
    <mergeCell ref="B25:O25"/>
  </mergeCells>
  <conditionalFormatting sqref="C6:O23">
    <cfRule type="cellIs" dxfId="5" priority="30" operator="equal">
      <formula>0</formula>
    </cfRule>
    <cfRule type="cellIs" dxfId="4" priority="34" operator="equal">
      <formula>0</formula>
    </cfRule>
    <cfRule type="cellIs" dxfId="3" priority="35" operator="lessThan">
      <formula>0</formula>
    </cfRule>
    <cfRule type="cellIs" dxfId="2" priority="36" operator="greaterThan">
      <formula>0</formula>
    </cfRule>
  </conditionalFormatting>
  <conditionalFormatting sqref="C24:O24">
    <cfRule type="cellIs" dxfId="1" priority="31" operator="lessThan">
      <formula>0</formula>
    </cfRule>
    <cfRule type="cellIs" priority="32" operator="lessThan">
      <formula>0</formula>
    </cfRule>
    <cfRule type="cellIs" dxfId="0" priority="33" operator="greaterThan">
      <formula>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Цели</vt:lpstr>
      <vt:lpstr>ЛФП подробно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2018-01-15T23:53:21Z</dcterms:created>
  <dcterms:modified xsi:type="dcterms:W3CDTF">2018-03-09T01:17:42Z</dcterms:modified>
</cp:coreProperties>
</file>